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<sst xmlns="http://schemas.openxmlformats.org/spreadsheetml/2006/main" count="95" uniqueCount="78">
  <si>
    <t xml:space="preserve">Реестр хозяйствующих субъектов с муниципальным участием 50 и более процентов, 
осуществляющих деятельность в Прокопьевском муниципальном округе 
За 2025 год</t>
  </si>
  <si>
    <r>
      <rPr>
        <u val="single"/>
        <sz val="12"/>
        <color rgb="FF000000"/>
        <rFont val="Times New Roman"/>
        <family val="1"/>
        <charset val="204"/>
      </rPr>
      <t xml:space="preserve">Отдел экономики, по ценам и труду администрации Прокопьевского муниципального района
</t>
    </r>
    <r>
      <rPr>
        <sz val="12"/>
        <color rgb="FF000000"/>
        <rFont val="Times New Roman"/>
        <family val="1"/>
        <charset val="204"/>
      </rPr>
      <t xml:space="preserve">(наименование ответственного исполнителя за составление реестра)
</t>
    </r>
  </si>
  <si>
    <t xml:space="preserve">№ п/п</t>
  </si>
  <si>
    <t xml:space="preserve">Наименование хозяйствующего субъекта</t>
  </si>
  <si>
    <t xml:space="preserve">Суммарная доля участия (собственности Прокопьевского муниципального округа) в хозяйствующем субъекте, процентов</t>
  </si>
  <si>
    <t xml:space="preserve">Наименование рынка присутствия хозяйствующего субъекта</t>
  </si>
  <si>
    <t xml:space="preserve">Объем реализации товаров, работ, услуг в натуральном выражении</t>
  </si>
  <si>
    <t xml:space="preserve">Рыночная доля хозяйствующего субъекта в натуральном выражении (по объему реализации товаров, работ, услуг), процентов (по Прокопьевскому муниципальному округу)</t>
  </si>
  <si>
    <t xml:space="preserve">Объем выручки, тыс.руб.</t>
  </si>
  <si>
    <t xml:space="preserve">Рыночная доля хозяйствующего субъекта ( в стоимостном выражении), процентов (по Прокопьевскому муниципальному округу)</t>
  </si>
  <si>
    <t xml:space="preserve">Суммарный объем муниципального финансирования хозяйствующего субъекта (со стороны Прокопьевского муниципального округа), рублей</t>
  </si>
  <si>
    <t xml:space="preserve">местный бюджет</t>
  </si>
  <si>
    <t xml:space="preserve">областной и федеральный бюджет</t>
  </si>
  <si>
    <t xml:space="preserve">МБОУ "Большеталдинская СОШ"</t>
  </si>
  <si>
    <t xml:space="preserve">услуги в сфере "образование"</t>
  </si>
  <si>
    <t xml:space="preserve">МБОУ "Бурлаковская СОШ"</t>
  </si>
  <si>
    <t xml:space="preserve">МБОУ "Калачёвская СОШ"</t>
  </si>
  <si>
    <t xml:space="preserve">МБОУ "Карагайлинская ООШ"</t>
  </si>
  <si>
    <t xml:space="preserve">МБОУ "Каменноключевская основная общеобразовательная школа"</t>
  </si>
  <si>
    <t xml:space="preserve">МБОУ "Кольчегизская ООШ"</t>
  </si>
  <si>
    <t xml:space="preserve">МБОУ "Котинская ООШ"</t>
  </si>
  <si>
    <t xml:space="preserve">МБОУ "Лучшевская НОШ"</t>
  </si>
  <si>
    <t xml:space="preserve">МБОУ "Михайловская основная общеобразовательная школа"</t>
  </si>
  <si>
    <t xml:space="preserve">МБОУ "Новосафоновская СОШ"</t>
  </si>
  <si>
    <t xml:space="preserve">МАОУ "Октябрьская основная общеобразовательная школа"</t>
  </si>
  <si>
    <t xml:space="preserve">МБОУ "Основная общеобразовательная школа п.Школьный"</t>
  </si>
  <si>
    <t xml:space="preserve">МБОУ "Прокопьевская СОШ"</t>
  </si>
  <si>
    <t xml:space="preserve">МБОУ "Терентьевская СОШ"</t>
  </si>
  <si>
    <t xml:space="preserve">МБОУ "Трудармейская средняя общеобразовательная школа"</t>
  </si>
  <si>
    <t xml:space="preserve">МБОУ "Шарапская СОШ"</t>
  </si>
  <si>
    <t xml:space="preserve">МБОУ "Яснополянская средняя общеобразовательная школа" имени Григория Ивановича Лещенко</t>
  </si>
  <si>
    <t xml:space="preserve">МБОУ "СОШ № 29"</t>
  </si>
  <si>
    <t xml:space="preserve">МБОУ "СОШ № 31" поселка Краснобродского</t>
  </si>
  <si>
    <t xml:space="preserve">МБОУ "СОШ № 34"</t>
  </si>
  <si>
    <t xml:space="preserve">МКОУ "Октябрьская ОШИ"</t>
  </si>
  <si>
    <t xml:space="preserve">Х</t>
  </si>
  <si>
    <t xml:space="preserve">МАУ ДО "ДЮСШ"</t>
  </si>
  <si>
    <t xml:space="preserve">МБУ ДО "Трудармейский дом творчества"</t>
  </si>
  <si>
    <t xml:space="preserve">МБУ ДО "ЦРТДЮ"</t>
  </si>
  <si>
    <t xml:space="preserve">МАДОУ Новосафоновский детский сад "Солнышко"</t>
  </si>
  <si>
    <t xml:space="preserve">МАДОУ "Терентьевский детский сад"</t>
  </si>
  <si>
    <t xml:space="preserve">МАДОУ "Трудармейский детский сад "Чебурашка"</t>
  </si>
  <si>
    <t xml:space="preserve">МБДОУ д/с № 16 "Солнышко"</t>
  </si>
  <si>
    <t xml:space="preserve">МБДОУ д/с № 49 "Радуга"</t>
  </si>
  <si>
    <t xml:space="preserve">МБДОУ д/с № 56 "Теремок"</t>
  </si>
  <si>
    <t xml:space="preserve">МБДОУ "Детский сад № 176 "Сказка"</t>
  </si>
  <si>
    <t xml:space="preserve">МАУ ДОЛКД "Юность"</t>
  </si>
  <si>
    <t xml:space="preserve">МАУ ДО "Центр "Вектор"</t>
  </si>
  <si>
    <t xml:space="preserve">МБУ "ЦТО"</t>
  </si>
  <si>
    <t xml:space="preserve">МКУ "ОКО УО"</t>
  </si>
  <si>
    <t xml:space="preserve">МБУ "ЦБ УО Прокопьевского района"</t>
  </si>
  <si>
    <t xml:space="preserve">Управление образования АПМО</t>
  </si>
  <si>
    <t xml:space="preserve">МБУ «Редакция газеты Прокопьевского муниципального округа «Сельская новь»</t>
  </si>
  <si>
    <t xml:space="preserve">Издательская деятельность</t>
  </si>
  <si>
    <t xml:space="preserve">МКУ "ЦСО"</t>
  </si>
  <si>
    <t xml:space="preserve">Социальные услуги</t>
  </si>
  <si>
    <t xml:space="preserve">Муниципальное автономное учреждение «Трудармейский развлекательный комплекс</t>
  </si>
  <si>
    <t xml:space="preserve">Услуги спортивных объектов, природных парков, гостиниц, физкультурно- оздоровительная деятельность</t>
  </si>
  <si>
    <t xml:space="preserve">Муниципальное автономное учреждение Культурно-досуговый центр Прокопьевского муниципального округа</t>
  </si>
  <si>
    <t xml:space="preserve">Организация и проведение культурно-досуговых мероприятий</t>
  </si>
  <si>
    <t xml:space="preserve">2 501 433
 посещения</t>
  </si>
  <si>
    <t xml:space="preserve">Муниципальное бюджетное учреждение дополнительного образования «Детская музыкальная школа № 49»</t>
  </si>
  <si>
    <t xml:space="preserve">услуги по дополнительным  общеразвивающим  и предпрофессиональным программам в области музыкальных искусств</t>
  </si>
  <si>
    <t xml:space="preserve">230 обучающихся</t>
  </si>
  <si>
    <t xml:space="preserve">Муниципальное бюджетное учреждение дополнительного образования «Детская школа искусств № 62»</t>
  </si>
  <si>
    <t xml:space="preserve">услуги по дополнительным  общеразвивающим  и предпрофессиональным программам в области музыкальных и художественных искусств</t>
  </si>
  <si>
    <t xml:space="preserve">234 обучающихся</t>
  </si>
  <si>
    <t xml:space="preserve">Муниципальное бюджетное учреждение дополнительного образования «Детская музыкальная школа № 77»</t>
  </si>
  <si>
    <t xml:space="preserve">120 обучающихся</t>
  </si>
  <si>
    <t xml:space="preserve">Муниципальное бюджетное учреждение
«Централизованная библиотечная система Прокопьевского муниципального округа»
</t>
  </si>
  <si>
    <t xml:space="preserve">Библиотечное, библиографическое и информационное обслуживание</t>
  </si>
  <si>
    <t xml:space="preserve">615 281 посещения</t>
  </si>
  <si>
    <t xml:space="preserve">Муниципальное бюджетное учреждение дополнительного образования «Центр молодежи»</t>
  </si>
  <si>
    <t xml:space="preserve">организует и проводит мероприятия с молодежью в рамках молодежной политики</t>
  </si>
  <si>
    <t xml:space="preserve">1 000 посещение</t>
  </si>
  <si>
    <t xml:space="preserve">МКУ "УДЖНП" ПМО</t>
  </si>
  <si>
    <t xml:space="preserve">Основной вид деятельности по оквэд -70.22 Консультирование по вопросам коммерческой деятельности и управления</t>
  </si>
  <si>
    <t xml:space="preserve">Сбор и транспортировка ТКО — 141160,65 м.куб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</si>
</sst>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0.0"/>
    <numFmt numFmtId="167" formatCode="#,##0.00_р_."/>
    <numFmt numFmtId="168" formatCode="0"/>
    <numFmt numFmtId="169" formatCode="#,##0.0"/>
    <numFmt numFmtId="170" formatCode="#,##0.00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PT Astra Serif"/>
      <family val="1"/>
      <charset val="1"/>
    </font>
    <font>
      <u val="singl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53"/>
  <sheetViews>
    <sheetView showFormulas="false" showGridLines="true" showRowColHeaders="true" showZeros="true" rightToLeft="false" tabSelected="true" showOutlineSymbols="true" defaultGridColor="true" view="normal" topLeftCell="A49" colorId="64" zoomScale="80" zoomScaleNormal="80" zoomScalePageLayoutView="100" workbookViewId="0">
      <selection pane="topLeft" activeCell="I53" activeCellId="0" sqref="I53"/>
    </sheetView>
  </sheetViews>
  <sheetFormatPr defaultColWidth="8.515625" defaultRowHeight="13.8" zeroHeight="false" outlineLevelRow="0" outlineLevelCol="0"/>
  <cols>
    <col collapsed="false" customWidth="true" hidden="false" outlineLevel="0" max="1" min="1" style="1" width="5.44"/>
    <col collapsed="false" customWidth="true" hidden="false" outlineLevel="0" max="2" min="2" style="1" width="33"/>
    <col collapsed="false" customWidth="true" hidden="false" outlineLevel="0" max="3" min="3" style="1" width="16.02"/>
    <col collapsed="false" customWidth="true" hidden="false" outlineLevel="0" max="4" min="4" style="1" width="23.15"/>
    <col collapsed="false" customWidth="true" hidden="false" outlineLevel="0" max="5" min="5" style="1" width="14.52"/>
    <col collapsed="false" customWidth="true" hidden="false" outlineLevel="0" max="6" min="6" style="1" width="17.11"/>
    <col collapsed="false" customWidth="true" hidden="false" outlineLevel="0" max="7" min="7" style="1" width="10.63"/>
    <col collapsed="false" customWidth="true" hidden="false" outlineLevel="0" max="8" min="8" style="1" width="17.33"/>
    <col collapsed="false" customWidth="true" hidden="false" outlineLevel="0" max="9" min="9" style="2" width="16.02"/>
    <col collapsed="false" customWidth="true" hidden="false" outlineLevel="0" max="10" min="10" style="2" width="16.77"/>
  </cols>
  <sheetData>
    <row r="1" customFormat="false" ht="44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3" customFormat="false" ht="43.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="6" customFormat="true" ht="138.75" hidden="false" customHeight="true" outlineLevel="0" collapsed="false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/>
    </row>
    <row r="5" s="6" customFormat="true" ht="59.25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 t="s">
        <v>11</v>
      </c>
      <c r="J5" s="5" t="s">
        <v>12</v>
      </c>
    </row>
    <row r="6" s="6" customFormat="true" ht="14.25" hidden="false" customHeight="true" outlineLevel="0" collapsed="false">
      <c r="A6" s="7" t="n">
        <v>1</v>
      </c>
      <c r="B6" s="5" t="s">
        <v>13</v>
      </c>
      <c r="C6" s="8" t="n">
        <v>100</v>
      </c>
      <c r="D6" s="5" t="s">
        <v>14</v>
      </c>
      <c r="E6" s="7" t="n">
        <v>143</v>
      </c>
      <c r="F6" s="9" t="n">
        <f aca="false">E6/SUM(E6:E25)*100</f>
        <v>2.77078085642317</v>
      </c>
      <c r="G6" s="10" t="n">
        <v>177.1</v>
      </c>
      <c r="H6" s="9" t="n">
        <f aca="false">(I6+J6)/SUM(I6:J34)*100</f>
        <v>1.7577806493662</v>
      </c>
      <c r="I6" s="11" t="n">
        <f aca="false">28715258.61+6051917.49-J6</f>
        <v>13087373.55</v>
      </c>
      <c r="J6" s="11" t="n">
        <v>21679802.55</v>
      </c>
      <c r="K6" s="1"/>
      <c r="L6" s="1"/>
      <c r="M6" s="1"/>
      <c r="N6" s="1"/>
      <c r="O6" s="1"/>
    </row>
    <row r="7" s="6" customFormat="true" ht="15" hidden="false" customHeight="false" outlineLevel="0" collapsed="false">
      <c r="A7" s="7" t="n">
        <v>2</v>
      </c>
      <c r="B7" s="5" t="s">
        <v>15</v>
      </c>
      <c r="C7" s="8" t="n">
        <v>100</v>
      </c>
      <c r="D7" s="5"/>
      <c r="E7" s="7" t="n">
        <v>300</v>
      </c>
      <c r="F7" s="9" t="n">
        <f aca="false">E7/SUM(E6:E25)*100</f>
        <v>5.81282697151715</v>
      </c>
      <c r="G7" s="10" t="n">
        <v>113.2</v>
      </c>
      <c r="H7" s="9" t="n">
        <f aca="false">(I7+J7)/SUM(I6:J34)*100</f>
        <v>3.41438103221658</v>
      </c>
      <c r="I7" s="11" t="n">
        <f aca="false">62328614.4+5204491.43+1990705.48-J7-1990705.48</f>
        <v>19690520.01</v>
      </c>
      <c r="J7" s="11" t="n">
        <v>47842585.82</v>
      </c>
      <c r="K7" s="1"/>
      <c r="L7" s="1"/>
      <c r="M7" s="1"/>
      <c r="N7" s="1"/>
      <c r="O7" s="1"/>
    </row>
    <row r="8" s="6" customFormat="true" ht="15" hidden="false" customHeight="false" outlineLevel="0" collapsed="false">
      <c r="A8" s="7" t="n">
        <v>3</v>
      </c>
      <c r="B8" s="5" t="s">
        <v>16</v>
      </c>
      <c r="C8" s="8" t="n">
        <v>100</v>
      </c>
      <c r="D8" s="5"/>
      <c r="E8" s="7" t="n">
        <v>390</v>
      </c>
      <c r="F8" s="9" t="n">
        <f aca="false">E8/SUM(E6:E25)*100</f>
        <v>7.55667506297229</v>
      </c>
      <c r="G8" s="10" t="n">
        <v>1318.6</v>
      </c>
      <c r="H8" s="9" t="n">
        <f aca="false">(I8+J8)/SUM(I6:J34)*100</f>
        <v>3.60286374066989</v>
      </c>
      <c r="I8" s="11" t="n">
        <f aca="false">71261108.82-J8</f>
        <v>18363285.47</v>
      </c>
      <c r="J8" s="11" t="n">
        <v>52897823.35</v>
      </c>
      <c r="K8" s="1"/>
      <c r="L8" s="1"/>
      <c r="M8" s="1"/>
      <c r="N8" s="1"/>
      <c r="O8" s="1"/>
    </row>
    <row r="9" s="6" customFormat="true" ht="15" hidden="false" customHeight="false" outlineLevel="0" collapsed="false">
      <c r="A9" s="7" t="n">
        <v>4</v>
      </c>
      <c r="B9" s="5" t="s">
        <v>17</v>
      </c>
      <c r="C9" s="8" t="n">
        <v>100</v>
      </c>
      <c r="D9" s="5"/>
      <c r="E9" s="7" t="n">
        <v>130</v>
      </c>
      <c r="F9" s="9" t="n">
        <f aca="false">E9/SUM(E6:E25)*100</f>
        <v>2.51889168765743</v>
      </c>
      <c r="G9" s="10" t="n">
        <v>47.8</v>
      </c>
      <c r="H9" s="9" t="n">
        <f aca="false">(I9+J9)/SUM(I6:J34)*100</f>
        <v>1.98362859045265</v>
      </c>
      <c r="I9" s="11" t="n">
        <f aca="false">33878800.41+5355426.31-J9</f>
        <v>10493017.22</v>
      </c>
      <c r="J9" s="11" t="n">
        <v>28741209.5</v>
      </c>
      <c r="K9" s="1"/>
      <c r="L9" s="1"/>
      <c r="M9" s="1"/>
      <c r="N9" s="1"/>
      <c r="O9" s="1"/>
    </row>
    <row r="10" s="6" customFormat="true" ht="42" hidden="false" customHeight="false" outlineLevel="0" collapsed="false">
      <c r="A10" s="7" t="n">
        <v>5</v>
      </c>
      <c r="B10" s="5" t="s">
        <v>18</v>
      </c>
      <c r="C10" s="8" t="n">
        <v>100</v>
      </c>
      <c r="D10" s="5"/>
      <c r="E10" s="7" t="n">
        <v>121</v>
      </c>
      <c r="F10" s="9" t="n">
        <f aca="false">E10/SUM(E6:E25)*100</f>
        <v>2.34450687851192</v>
      </c>
      <c r="G10" s="10" t="n">
        <v>56.5</v>
      </c>
      <c r="H10" s="9" t="n">
        <f aca="false">(I10+J10)/SUM(I6:J34)*100</f>
        <v>1.64227471704222</v>
      </c>
      <c r="I10" s="11" t="n">
        <f aca="false">5630737+26851845.12-J10</f>
        <v>9746243.71</v>
      </c>
      <c r="J10" s="11" t="n">
        <v>22736338.41</v>
      </c>
      <c r="K10" s="1"/>
      <c r="L10" s="1"/>
      <c r="M10" s="1"/>
      <c r="N10" s="1"/>
      <c r="O10" s="1"/>
    </row>
    <row r="11" customFormat="false" ht="15" hidden="false" customHeight="false" outlineLevel="0" collapsed="false">
      <c r="A11" s="7" t="n">
        <v>6</v>
      </c>
      <c r="B11" s="5" t="s">
        <v>19</v>
      </c>
      <c r="C11" s="8" t="n">
        <v>100</v>
      </c>
      <c r="D11" s="5"/>
      <c r="E11" s="7" t="n">
        <v>88</v>
      </c>
      <c r="F11" s="9" t="n">
        <f aca="false">E11/SUM(E6:E25)*100</f>
        <v>1.70509591164503</v>
      </c>
      <c r="G11" s="10" t="n">
        <v>47.9</v>
      </c>
      <c r="H11" s="9" t="n">
        <f aca="false">(I11+J11)/SUM(I6:J34)*100</f>
        <v>1.2932879628854</v>
      </c>
      <c r="I11" s="11" t="n">
        <f aca="false">25579966.63-J11</f>
        <v>8444359.31</v>
      </c>
      <c r="J11" s="11" t="n">
        <v>17135607.32</v>
      </c>
    </row>
    <row r="12" customFormat="false" ht="15" hidden="false" customHeight="false" outlineLevel="0" collapsed="false">
      <c r="A12" s="7" t="n">
        <v>7</v>
      </c>
      <c r="B12" s="5" t="s">
        <v>20</v>
      </c>
      <c r="C12" s="8" t="n">
        <v>100</v>
      </c>
      <c r="D12" s="5"/>
      <c r="E12" s="7" t="n">
        <v>88</v>
      </c>
      <c r="F12" s="9" t="n">
        <f aca="false">E12/SUM(E6:E25)*100</f>
        <v>1.70509591164503</v>
      </c>
      <c r="G12" s="10" t="n">
        <v>528.8</v>
      </c>
      <c r="H12" s="9" t="n">
        <f aca="false">(I12+J12)/SUM(I6:J34)*100</f>
        <v>10.3461536000844</v>
      </c>
      <c r="I12" s="11" t="n">
        <f aca="false">204636764.15-J12</f>
        <v>184386503.14</v>
      </c>
      <c r="J12" s="11" t="n">
        <v>20250261.01</v>
      </c>
    </row>
    <row r="13" customFormat="false" ht="15" hidden="false" customHeight="false" outlineLevel="0" collapsed="false">
      <c r="A13" s="7" t="n">
        <v>8</v>
      </c>
      <c r="B13" s="5" t="s">
        <v>21</v>
      </c>
      <c r="C13" s="8" t="n">
        <v>100</v>
      </c>
      <c r="D13" s="5"/>
      <c r="E13" s="7" t="n">
        <v>61</v>
      </c>
      <c r="F13" s="9" t="n">
        <f aca="false">E13/SUM(E6:E25)*100</f>
        <v>1.18194148420849</v>
      </c>
      <c r="G13" s="10" t="n">
        <v>62.8</v>
      </c>
      <c r="H13" s="9" t="n">
        <f aca="false">(I13+J13)/SUM(I6:J34)*100</f>
        <v>1.05314357432627</v>
      </c>
      <c r="I13" s="11" t="n">
        <f aca="false">20830146.31-J13</f>
        <v>5141777.3</v>
      </c>
      <c r="J13" s="11" t="n">
        <v>15688369.01</v>
      </c>
    </row>
    <row r="14" customFormat="false" ht="28.4" hidden="false" customHeight="false" outlineLevel="0" collapsed="false">
      <c r="A14" s="7" t="n">
        <v>9</v>
      </c>
      <c r="B14" s="5" t="s">
        <v>22</v>
      </c>
      <c r="C14" s="8" t="n">
        <v>100</v>
      </c>
      <c r="D14" s="5"/>
      <c r="E14" s="7" t="n">
        <v>88</v>
      </c>
      <c r="F14" s="9" t="n">
        <f aca="false">E14/SUM(E6:E25)*100</f>
        <v>1.70509591164503</v>
      </c>
      <c r="G14" s="10" t="n">
        <v>35.1</v>
      </c>
      <c r="H14" s="9" t="n">
        <f aca="false">(I14+J14)/SUM(I6:J34)*100</f>
        <v>1.63958806654837</v>
      </c>
      <c r="I14" s="11" t="n">
        <f aca="false">32429442.81-J14</f>
        <v>11467191.3</v>
      </c>
      <c r="J14" s="11" t="n">
        <v>20962251.51</v>
      </c>
    </row>
    <row r="15" customFormat="false" ht="15" hidden="false" customHeight="false" outlineLevel="0" collapsed="false">
      <c r="A15" s="7" t="n">
        <v>10</v>
      </c>
      <c r="B15" s="5" t="s">
        <v>23</v>
      </c>
      <c r="C15" s="8" t="n">
        <v>100</v>
      </c>
      <c r="D15" s="5"/>
      <c r="E15" s="7" t="n">
        <v>427</v>
      </c>
      <c r="F15" s="9" t="n">
        <f aca="false">E15/SUM(E6:E25)*100</f>
        <v>8.27359038945941</v>
      </c>
      <c r="G15" s="10" t="n">
        <v>270.6</v>
      </c>
      <c r="H15" s="9" t="n">
        <f aca="false">(I15+J15)/SUM(I6:J34)*100</f>
        <v>2.69035793816327</v>
      </c>
      <c r="I15" s="11" t="n">
        <f aca="false">53212639.61-J15</f>
        <v>9768271.21</v>
      </c>
      <c r="J15" s="11" t="n">
        <v>43444368.4</v>
      </c>
    </row>
    <row r="16" customFormat="false" ht="28.4" hidden="false" customHeight="false" outlineLevel="0" collapsed="false">
      <c r="A16" s="7" t="n">
        <v>11</v>
      </c>
      <c r="B16" s="5" t="s">
        <v>24</v>
      </c>
      <c r="C16" s="8" t="n">
        <v>100</v>
      </c>
      <c r="D16" s="5"/>
      <c r="E16" s="7" t="n">
        <v>76</v>
      </c>
      <c r="F16" s="9" t="n">
        <f aca="false">E16/SUM(E6:E25)*100</f>
        <v>1.47258283278434</v>
      </c>
      <c r="G16" s="10" t="n">
        <v>60.8</v>
      </c>
      <c r="H16" s="9" t="n">
        <f aca="false">(I16+J16)/SUM(I6:J34)*100</f>
        <v>1.65372746426707</v>
      </c>
      <c r="I16" s="11" t="n">
        <f aca="false">32709106.22-J16</f>
        <v>11001542.42</v>
      </c>
      <c r="J16" s="11" t="n">
        <v>21707563.8</v>
      </c>
    </row>
    <row r="17" customFormat="false" ht="42" hidden="false" customHeight="false" outlineLevel="0" collapsed="false">
      <c r="A17" s="7" t="n">
        <v>12</v>
      </c>
      <c r="B17" s="5" t="s">
        <v>25</v>
      </c>
      <c r="C17" s="8" t="n">
        <v>100</v>
      </c>
      <c r="D17" s="5"/>
      <c r="E17" s="7" t="n">
        <v>152</v>
      </c>
      <c r="F17" s="9" t="n">
        <f aca="false">E17/SUM(E6:E27)*100</f>
        <v>2.30547550432277</v>
      </c>
      <c r="G17" s="10" t="n">
        <v>124.6</v>
      </c>
      <c r="H17" s="9" t="n">
        <f aca="false">(I17+J17)/SUM(I6:J34)*100</f>
        <v>1.47653126425436</v>
      </c>
      <c r="I17" s="11" t="n">
        <f aca="false">29204339.29-J17</f>
        <v>6292652.66</v>
      </c>
      <c r="J17" s="11" t="n">
        <v>22911686.63</v>
      </c>
    </row>
    <row r="18" customFormat="false" ht="15" hidden="false" customHeight="false" outlineLevel="0" collapsed="false">
      <c r="A18" s="7" t="n">
        <v>13</v>
      </c>
      <c r="B18" s="5" t="s">
        <v>26</v>
      </c>
      <c r="C18" s="8" t="n">
        <v>100</v>
      </c>
      <c r="D18" s="5"/>
      <c r="E18" s="7" t="n">
        <v>222</v>
      </c>
      <c r="F18" s="9" t="n">
        <f aca="false">E18/SUM(E6:E25)*100</f>
        <v>4.30149195892269</v>
      </c>
      <c r="G18" s="10" t="n">
        <v>111.3</v>
      </c>
      <c r="H18" s="9" t="n">
        <f aca="false">(I18+J18)/SUM(I6:J34)*100</f>
        <v>2.08146785348151</v>
      </c>
      <c r="I18" s="11" t="n">
        <f aca="false">5382183.12+35787208.2-J18</f>
        <v>12719556.18</v>
      </c>
      <c r="J18" s="11" t="n">
        <v>28449835.14</v>
      </c>
    </row>
    <row r="19" customFormat="false" ht="15" hidden="false" customHeight="false" outlineLevel="0" collapsed="false">
      <c r="A19" s="7" t="n">
        <v>14</v>
      </c>
      <c r="B19" s="5" t="s">
        <v>27</v>
      </c>
      <c r="C19" s="8" t="n">
        <v>100</v>
      </c>
      <c r="D19" s="5"/>
      <c r="E19" s="7" t="n">
        <v>432</v>
      </c>
      <c r="F19" s="9" t="n">
        <f aca="false">E19/SUM(E6:E25)*100</f>
        <v>8.37047083898469</v>
      </c>
      <c r="G19" s="10" t="n">
        <v>123.9</v>
      </c>
      <c r="H19" s="9" t="n">
        <f aca="false">(I19+J19)/SUM(I6:J34)*100</f>
        <v>3.32541178209601</v>
      </c>
      <c r="I19" s="11" t="n">
        <f aca="false">65773381.38-J19</f>
        <v>15558356.95</v>
      </c>
      <c r="J19" s="11" t="n">
        <v>50215024.43</v>
      </c>
    </row>
    <row r="20" customFormat="false" ht="28.4" hidden="false" customHeight="false" outlineLevel="0" collapsed="false">
      <c r="A20" s="7" t="n">
        <v>15</v>
      </c>
      <c r="B20" s="5" t="s">
        <v>28</v>
      </c>
      <c r="C20" s="8" t="n">
        <v>100</v>
      </c>
      <c r="D20" s="5"/>
      <c r="E20" s="7" t="n">
        <v>499</v>
      </c>
      <c r="F20" s="9" t="n">
        <f aca="false">E20/SUM(E6:E25)*100</f>
        <v>9.66866886262352</v>
      </c>
      <c r="G20" s="10" t="n">
        <v>500.7</v>
      </c>
      <c r="H20" s="9" t="n">
        <f aca="false">(I20+J20)/SUM(I6:J34)*100</f>
        <v>20.7102868698274</v>
      </c>
      <c r="I20" s="11" t="n">
        <f aca="false">429225578.7-J20-19596430.18</f>
        <v>195467083.2</v>
      </c>
      <c r="J20" s="11" t="n">
        <v>214162065.32</v>
      </c>
    </row>
    <row r="21" customFormat="false" ht="15" hidden="false" customHeight="false" outlineLevel="0" collapsed="false">
      <c r="A21" s="7" t="n">
        <v>16</v>
      </c>
      <c r="B21" s="5" t="s">
        <v>29</v>
      </c>
      <c r="C21" s="8" t="n">
        <v>100</v>
      </c>
      <c r="D21" s="5"/>
      <c r="E21" s="7" t="n">
        <v>186</v>
      </c>
      <c r="F21" s="9" t="n">
        <f aca="false">E21/SUM(E6:E25)*100</f>
        <v>3.60395272234063</v>
      </c>
      <c r="G21" s="10" t="n">
        <v>31.3</v>
      </c>
      <c r="H21" s="9" t="n">
        <f aca="false">(I21+J21)/SUM(I6:J34)*100</f>
        <v>1.86748748353911</v>
      </c>
      <c r="I21" s="11" t="n">
        <f aca="false">36937069.61-J21</f>
        <v>10450985.43</v>
      </c>
      <c r="J21" s="11" t="n">
        <v>26486084.18</v>
      </c>
    </row>
    <row r="22" customFormat="false" ht="55.35" hidden="false" customHeight="true" outlineLevel="0" collapsed="false">
      <c r="A22" s="7" t="n">
        <v>17</v>
      </c>
      <c r="B22" s="5" t="s">
        <v>30</v>
      </c>
      <c r="C22" s="8" t="n">
        <v>100</v>
      </c>
      <c r="D22" s="5"/>
      <c r="E22" s="7" t="n">
        <v>203</v>
      </c>
      <c r="F22" s="9" t="n">
        <f aca="false">E22/SUM(E6:E25)*100</f>
        <v>3.9333462507266</v>
      </c>
      <c r="G22" s="10" t="n">
        <v>357.1</v>
      </c>
      <c r="H22" s="9" t="n">
        <f aca="false">(I22+J22)/SUM(I6:J34)*100</f>
        <v>8.64069965927103</v>
      </c>
      <c r="I22" s="11" t="n">
        <f aca="false">163725515.12+7213535.44-J22-34491.57</f>
        <v>45572717.04</v>
      </c>
      <c r="J22" s="11" t="n">
        <v>125331841.95</v>
      </c>
    </row>
    <row r="23" customFormat="false" ht="15" hidden="false" customHeight="false" outlineLevel="0" collapsed="false">
      <c r="A23" s="7" t="n">
        <v>18</v>
      </c>
      <c r="B23" s="5" t="s">
        <v>31</v>
      </c>
      <c r="C23" s="8" t="n">
        <v>100</v>
      </c>
      <c r="D23" s="5"/>
      <c r="E23" s="7" t="n">
        <v>236</v>
      </c>
      <c r="F23" s="9" t="n">
        <f aca="false">E23/SUM(E6:E25)*100</f>
        <v>4.57275721759349</v>
      </c>
      <c r="G23" s="10" t="n">
        <v>232</v>
      </c>
      <c r="H23" s="9" t="n">
        <f aca="false">(I23+J23)/SUM(I6:J34)*100</f>
        <v>2.39619935287353</v>
      </c>
      <c r="I23" s="11" t="n">
        <f aca="false">47400955.69-J23-6484.2</f>
        <v>13976145.59</v>
      </c>
      <c r="J23" s="11" t="n">
        <v>33418325.9</v>
      </c>
    </row>
    <row r="24" customFormat="false" ht="28.4" hidden="false" customHeight="false" outlineLevel="0" collapsed="false">
      <c r="A24" s="7" t="n">
        <v>19</v>
      </c>
      <c r="B24" s="5" t="s">
        <v>32</v>
      </c>
      <c r="C24" s="8" t="n">
        <v>100</v>
      </c>
      <c r="D24" s="5"/>
      <c r="E24" s="7" t="n">
        <v>744</v>
      </c>
      <c r="F24" s="9" t="n">
        <f aca="false">E24/SUM(E6:E25)*100</f>
        <v>14.4158108893625</v>
      </c>
      <c r="G24" s="10" t="n">
        <v>93.1</v>
      </c>
      <c r="H24" s="9" t="n">
        <f aca="false">(I24+J24)/SUM(I6:J34)*100</f>
        <v>3.27366900797662</v>
      </c>
      <c r="I24" s="11" t="n">
        <f aca="false">64749960.09-J24</f>
        <v>13806069.07</v>
      </c>
      <c r="J24" s="11" t="n">
        <v>50943891.02</v>
      </c>
    </row>
    <row r="25" customFormat="false" ht="15" hidden="false" customHeight="false" outlineLevel="0" collapsed="false">
      <c r="A25" s="7" t="n">
        <v>20</v>
      </c>
      <c r="B25" s="5" t="s">
        <v>33</v>
      </c>
      <c r="C25" s="8" t="n">
        <v>100</v>
      </c>
      <c r="D25" s="5"/>
      <c r="E25" s="7" t="n">
        <v>575</v>
      </c>
      <c r="F25" s="9" t="n">
        <f aca="false">E25/SUM(E6:E25)*100</f>
        <v>11.1412516954079</v>
      </c>
      <c r="G25" s="10" t="n">
        <v>380.3</v>
      </c>
      <c r="H25" s="9" t="n">
        <f aca="false">(I25+J25)/SUM(I6:J34)*100</f>
        <v>2.70753564083108</v>
      </c>
      <c r="I25" s="11" t="n">
        <f aca="false">53552397.71-J25</f>
        <v>10477676.37</v>
      </c>
      <c r="J25" s="11" t="n">
        <v>43074721.34</v>
      </c>
    </row>
    <row r="26" customFormat="false" ht="15" hidden="false" customHeight="false" outlineLevel="0" collapsed="false">
      <c r="A26" s="7" t="n">
        <v>21</v>
      </c>
      <c r="B26" s="5" t="s">
        <v>34</v>
      </c>
      <c r="C26" s="8" t="n">
        <v>100</v>
      </c>
      <c r="D26" s="5"/>
      <c r="E26" s="7" t="n">
        <v>122</v>
      </c>
      <c r="F26" s="9" t="n">
        <f aca="false">E26/SUM(E26:E26)*100</f>
        <v>100</v>
      </c>
      <c r="G26" s="10" t="s">
        <v>35</v>
      </c>
      <c r="H26" s="9" t="n">
        <f aca="false">(I26+J26)/SUM(I6:J34)*100</f>
        <v>3.07917491733066</v>
      </c>
      <c r="I26" s="11" t="n">
        <f aca="false">60903057.86-J26</f>
        <v>5371417.37</v>
      </c>
      <c r="J26" s="11" t="n">
        <v>55531640.49</v>
      </c>
    </row>
    <row r="27" customFormat="false" ht="15" hidden="false" customHeight="false" outlineLevel="0" collapsed="false">
      <c r="A27" s="7" t="n">
        <v>22</v>
      </c>
      <c r="B27" s="5" t="s">
        <v>36</v>
      </c>
      <c r="C27" s="8" t="n">
        <v>100</v>
      </c>
      <c r="D27" s="5"/>
      <c r="E27" s="7" t="n">
        <v>1310</v>
      </c>
      <c r="F27" s="9" t="n">
        <f aca="false">E27/SUM(E27:E27)*100</f>
        <v>100</v>
      </c>
      <c r="G27" s="10" t="n">
        <v>9404.2</v>
      </c>
      <c r="H27" s="9" t="n">
        <f aca="false">(I27+J27)/SUM(I6:J34)*100</f>
        <v>5.73071406944492</v>
      </c>
      <c r="I27" s="11" t="n">
        <f aca="false">9878425.81+103476095.74-J27-6621.57</f>
        <v>112847899.98</v>
      </c>
      <c r="J27" s="11" t="n">
        <v>500000</v>
      </c>
    </row>
    <row r="28" customFormat="false" ht="28.4" hidden="false" customHeight="false" outlineLevel="0" collapsed="false">
      <c r="A28" s="7" t="n">
        <v>23</v>
      </c>
      <c r="B28" s="5" t="s">
        <v>37</v>
      </c>
      <c r="C28" s="8" t="n">
        <v>100</v>
      </c>
      <c r="D28" s="5"/>
      <c r="E28" s="7" t="n">
        <v>1101</v>
      </c>
      <c r="F28" s="9" t="n">
        <f aca="false">E28/SUM(E28:E29)*100</f>
        <v>36.5053050397878</v>
      </c>
      <c r="G28" s="10" t="n">
        <v>2.5</v>
      </c>
      <c r="H28" s="9" t="n">
        <f aca="false">(I28+J28)/SUM(I7:J35)*100</f>
        <v>1.2606621075566</v>
      </c>
      <c r="I28" s="11" t="n">
        <f aca="false">24968688.82-J28</f>
        <v>24968688.82</v>
      </c>
      <c r="J28" s="11" t="n">
        <v>0</v>
      </c>
    </row>
    <row r="29" customFormat="false" ht="15" hidden="false" customHeight="false" outlineLevel="0" collapsed="false">
      <c r="A29" s="7" t="n">
        <v>24</v>
      </c>
      <c r="B29" s="5" t="s">
        <v>38</v>
      </c>
      <c r="C29" s="8" t="n">
        <v>100</v>
      </c>
      <c r="D29" s="5"/>
      <c r="E29" s="7" t="n">
        <v>1915</v>
      </c>
      <c r="F29" s="9" t="n">
        <f aca="false">E29/SUM(E28:E29)*100</f>
        <v>63.4946949602122</v>
      </c>
      <c r="G29" s="10" t="n">
        <v>0</v>
      </c>
      <c r="H29" s="9" t="n">
        <f aca="false">(I29+J29)/SUM(I7:J35)*100</f>
        <v>0.954846033504082</v>
      </c>
      <c r="I29" s="11" t="n">
        <f aca="false">18911691.99-J29</f>
        <v>18708191.48</v>
      </c>
      <c r="J29" s="11" t="n">
        <v>203500.51</v>
      </c>
    </row>
    <row r="30" customFormat="false" ht="28.4" hidden="false" customHeight="false" outlineLevel="0" collapsed="false">
      <c r="A30" s="7" t="n">
        <v>25</v>
      </c>
      <c r="B30" s="5" t="s">
        <v>39</v>
      </c>
      <c r="C30" s="8" t="n">
        <v>100</v>
      </c>
      <c r="D30" s="5"/>
      <c r="E30" s="7" t="n">
        <v>132</v>
      </c>
      <c r="F30" s="9" t="n">
        <f aca="false">E30/SUM(E30:E35)*100</f>
        <v>13.5384615384615</v>
      </c>
      <c r="G30" s="7" t="n">
        <v>295.7</v>
      </c>
      <c r="H30" s="9" t="n">
        <f aca="false">(I30+J30)/SUM(I13:J41)*100</f>
        <v>1.97580157184484</v>
      </c>
      <c r="I30" s="11" t="n">
        <f aca="false">31899740.33+4224125.08-J30</f>
        <v>21359663.42</v>
      </c>
      <c r="J30" s="11" t="n">
        <v>14764201.99</v>
      </c>
    </row>
    <row r="31" customFormat="false" ht="28.4" hidden="false" customHeight="false" outlineLevel="0" collapsed="false">
      <c r="A31" s="7" t="n">
        <v>26</v>
      </c>
      <c r="B31" s="5" t="s">
        <v>40</v>
      </c>
      <c r="C31" s="8" t="n">
        <v>100</v>
      </c>
      <c r="D31" s="5"/>
      <c r="E31" s="7" t="n">
        <v>125</v>
      </c>
      <c r="F31" s="9" t="n">
        <f aca="false">E31/SUM(E30:E35)*100</f>
        <v>12.8205128205128</v>
      </c>
      <c r="G31" s="7" t="n">
        <v>333.7</v>
      </c>
      <c r="H31" s="9" t="n">
        <f aca="false">(I31+J31)/SUM(I13:J41)*100</f>
        <v>1.95067572202496</v>
      </c>
      <c r="I31" s="11" t="n">
        <f aca="false">35664485.87-J31</f>
        <v>21488888.09</v>
      </c>
      <c r="J31" s="11" t="n">
        <v>14175597.78</v>
      </c>
    </row>
    <row r="32" customFormat="false" ht="28.4" hidden="false" customHeight="false" outlineLevel="0" collapsed="false">
      <c r="A32" s="7" t="n">
        <v>27</v>
      </c>
      <c r="B32" s="5" t="s">
        <v>41</v>
      </c>
      <c r="C32" s="8" t="n">
        <v>100</v>
      </c>
      <c r="D32" s="5"/>
      <c r="E32" s="7" t="n">
        <v>161</v>
      </c>
      <c r="F32" s="9" t="n">
        <f aca="false">E32/SUM(E30:E35)*100</f>
        <v>16.5128205128205</v>
      </c>
      <c r="G32" s="7" t="n">
        <v>450.8</v>
      </c>
      <c r="H32" s="9" t="n">
        <f aca="false">(I32+J32)/SUM(I13:J41)*100</f>
        <v>3.76933227932366</v>
      </c>
      <c r="I32" s="11" t="n">
        <f aca="false">68915246.29-J32</f>
        <v>50938505.06</v>
      </c>
      <c r="J32" s="11" t="n">
        <v>17976741.23</v>
      </c>
    </row>
    <row r="33" customFormat="false" ht="15" hidden="false" customHeight="false" outlineLevel="0" collapsed="false">
      <c r="A33" s="7" t="n">
        <v>28</v>
      </c>
      <c r="B33" s="5" t="s">
        <v>42</v>
      </c>
      <c r="C33" s="8" t="n">
        <v>100</v>
      </c>
      <c r="D33" s="5"/>
      <c r="E33" s="7" t="n">
        <v>240</v>
      </c>
      <c r="F33" s="9" t="n">
        <f aca="false">E33/SUM(E31:E36)*100</f>
        <v>26.578073089701</v>
      </c>
      <c r="G33" s="7" t="n">
        <v>705</v>
      </c>
      <c r="H33" s="9" t="n">
        <f aca="false">(I33+J33)/SUM(I14:J42)*100</f>
        <v>2.48078161599223</v>
      </c>
      <c r="I33" s="11" t="n">
        <f aca="false">45720264.32-J33</f>
        <v>25415043.63</v>
      </c>
      <c r="J33" s="11" t="n">
        <v>20305220.69</v>
      </c>
    </row>
    <row r="34" customFormat="false" ht="15" hidden="false" customHeight="false" outlineLevel="0" collapsed="false">
      <c r="A34" s="7" t="n">
        <v>29</v>
      </c>
      <c r="B34" s="5" t="s">
        <v>43</v>
      </c>
      <c r="C34" s="8" t="n">
        <v>100</v>
      </c>
      <c r="D34" s="5"/>
      <c r="E34" s="7" t="n">
        <v>166</v>
      </c>
      <c r="F34" s="9" t="n">
        <f aca="false">E34/SUM(E31:E36)*100</f>
        <v>18.3831672203765</v>
      </c>
      <c r="G34" s="7" t="n">
        <v>548.6</v>
      </c>
      <c r="H34" s="9" t="n">
        <f aca="false">(I34+J34)/SUM(I14:J42)*100</f>
        <v>2.13543884865582</v>
      </c>
      <c r="I34" s="11" t="n">
        <f aca="false">39355672.41-J34</f>
        <v>22996372.75</v>
      </c>
      <c r="J34" s="11" t="n">
        <v>16359299.66</v>
      </c>
    </row>
    <row r="35" customFormat="false" ht="15" hidden="false" customHeight="false" outlineLevel="0" collapsed="false">
      <c r="A35" s="7" t="n">
        <v>30</v>
      </c>
      <c r="B35" s="5" t="s">
        <v>44</v>
      </c>
      <c r="C35" s="8" t="n">
        <v>100</v>
      </c>
      <c r="D35" s="5"/>
      <c r="E35" s="7" t="n">
        <v>151</v>
      </c>
      <c r="F35" s="9" t="n">
        <f aca="false">E35/SUM(E31:E36)*100</f>
        <v>16.7220376522702</v>
      </c>
      <c r="G35" s="7" t="n">
        <v>429.2</v>
      </c>
      <c r="H35" s="9" t="n">
        <f aca="false">(I35+J35)/SUM(I14:J42)*100</f>
        <v>2.03293336095321</v>
      </c>
      <c r="I35" s="11" t="n">
        <f aca="false">37466518.62-J35</f>
        <v>21008485.9</v>
      </c>
      <c r="J35" s="11" t="n">
        <v>16458032.72</v>
      </c>
    </row>
    <row r="36" customFormat="false" ht="28.4" hidden="false" customHeight="false" outlineLevel="0" collapsed="false">
      <c r="A36" s="7" t="n">
        <v>31</v>
      </c>
      <c r="B36" s="5" t="s">
        <v>45</v>
      </c>
      <c r="C36" s="8" t="n">
        <v>100</v>
      </c>
      <c r="D36" s="5"/>
      <c r="E36" s="7" t="n">
        <v>60</v>
      </c>
      <c r="F36" s="9" t="n">
        <f aca="false">E36/SUM(E31:E36)*100</f>
        <v>6.64451827242525</v>
      </c>
      <c r="G36" s="7" t="n">
        <v>130.1</v>
      </c>
      <c r="H36" s="9" t="n">
        <f aca="false">(I36+J36)/SUM(I14:J42)*100</f>
        <v>0.998723930704828</v>
      </c>
      <c r="I36" s="11" t="n">
        <f aca="false">18406264.3-J36</f>
        <v>11416649.51</v>
      </c>
      <c r="J36" s="11" t="n">
        <v>6989614.79</v>
      </c>
    </row>
    <row r="37" customFormat="false" ht="15" hidden="false" customHeight="false" outlineLevel="0" collapsed="false">
      <c r="A37" s="7" t="n">
        <v>32</v>
      </c>
      <c r="B37" s="5" t="s">
        <v>46</v>
      </c>
      <c r="C37" s="8" t="n">
        <v>100</v>
      </c>
      <c r="D37" s="5"/>
      <c r="E37" s="7" t="n">
        <v>1116</v>
      </c>
      <c r="F37" s="9" t="n">
        <f aca="false">E37/SUM(E37:E37)*100</f>
        <v>100</v>
      </c>
      <c r="G37" s="7" t="n">
        <v>3872.8</v>
      </c>
      <c r="H37" s="9" t="n">
        <f aca="false">(I37+J37)/SUM(I14:J42)*100</f>
        <v>1.60539689638618</v>
      </c>
      <c r="I37" s="11" t="n">
        <f aca="false">29587114.79-J37</f>
        <v>29587114.79</v>
      </c>
      <c r="J37" s="11" t="n">
        <v>0</v>
      </c>
    </row>
    <row r="38" customFormat="false" ht="15" hidden="false" customHeight="false" outlineLevel="0" collapsed="false">
      <c r="A38" s="7" t="n">
        <v>33</v>
      </c>
      <c r="B38" s="5" t="s">
        <v>47</v>
      </c>
      <c r="C38" s="8" t="n">
        <v>100</v>
      </c>
      <c r="D38" s="5"/>
      <c r="E38" s="7" t="n">
        <v>470</v>
      </c>
      <c r="F38" s="9" t="n">
        <f aca="false">E38/SUM(E38:E38)*100</f>
        <v>100</v>
      </c>
      <c r="G38" s="7" t="n">
        <v>2075.2</v>
      </c>
      <c r="H38" s="9" t="n">
        <f aca="false">(I38+J38)/SUM(I14:J42)*100</f>
        <v>1.51587102126248</v>
      </c>
      <c r="I38" s="11" t="n">
        <f aca="false">27938722.43-J38-1550</f>
        <v>27937172.43</v>
      </c>
      <c r="J38" s="11" t="n">
        <v>0</v>
      </c>
    </row>
    <row r="39" customFormat="false" ht="15" hidden="false" customHeight="false" outlineLevel="0" collapsed="false">
      <c r="A39" s="7" t="n">
        <v>34</v>
      </c>
      <c r="B39" s="5" t="s">
        <v>48</v>
      </c>
      <c r="C39" s="8" t="n">
        <v>100</v>
      </c>
      <c r="D39" s="5"/>
      <c r="E39" s="7" t="s">
        <v>35</v>
      </c>
      <c r="F39" s="9" t="s">
        <v>35</v>
      </c>
      <c r="G39" s="7" t="s">
        <v>35</v>
      </c>
      <c r="H39" s="9" t="n">
        <f aca="false">(I39+J39)/SUM(I14:J42)*100</f>
        <v>8.49930842314551</v>
      </c>
      <c r="I39" s="11" t="n">
        <f aca="false">156640401.21-J39</f>
        <v>156640401.21</v>
      </c>
      <c r="J39" s="11" t="n">
        <v>0</v>
      </c>
    </row>
    <row r="40" customFormat="false" ht="15" hidden="false" customHeight="false" outlineLevel="0" collapsed="false">
      <c r="A40" s="7" t="n">
        <v>35</v>
      </c>
      <c r="B40" s="5" t="s">
        <v>49</v>
      </c>
      <c r="C40" s="8" t="n">
        <v>100</v>
      </c>
      <c r="D40" s="5"/>
      <c r="E40" s="7" t="s">
        <v>35</v>
      </c>
      <c r="F40" s="9" t="s">
        <v>35</v>
      </c>
      <c r="G40" s="7" t="s">
        <v>35</v>
      </c>
      <c r="H40" s="9" t="n">
        <f aca="false">(I40+J40)/SUM(I14:J42)*100</f>
        <v>1.38549106056891</v>
      </c>
      <c r="I40" s="11" t="n">
        <f aca="false">25534298.18-J40</f>
        <v>19457263.72</v>
      </c>
      <c r="J40" s="11" t="n">
        <v>6077034.46</v>
      </c>
    </row>
    <row r="41" customFormat="false" ht="28.4" hidden="false" customHeight="false" outlineLevel="0" collapsed="false">
      <c r="A41" s="7" t="n">
        <v>36</v>
      </c>
      <c r="B41" s="5" t="s">
        <v>50</v>
      </c>
      <c r="C41" s="8" t="n">
        <v>100</v>
      </c>
      <c r="D41" s="5"/>
      <c r="E41" s="7" t="s">
        <v>35</v>
      </c>
      <c r="F41" s="9" t="s">
        <v>35</v>
      </c>
      <c r="G41" s="7" t="s">
        <v>35</v>
      </c>
      <c r="H41" s="9" t="n">
        <f aca="false">(I41+J41)/SUM(I14:J42)*100</f>
        <v>1.64601743497188</v>
      </c>
      <c r="I41" s="11" t="n">
        <f aca="false">30335742.46-J41</f>
        <v>30335742.46</v>
      </c>
      <c r="J41" s="11" t="n">
        <v>0</v>
      </c>
    </row>
    <row r="42" customFormat="false" ht="15" hidden="false" customHeight="false" outlineLevel="0" collapsed="false">
      <c r="A42" s="7" t="n">
        <v>37</v>
      </c>
      <c r="B42" s="5" t="s">
        <v>51</v>
      </c>
      <c r="C42" s="8" t="n">
        <v>100</v>
      </c>
      <c r="D42" s="5"/>
      <c r="E42" s="7" t="s">
        <v>35</v>
      </c>
      <c r="F42" s="9" t="s">
        <v>35</v>
      </c>
      <c r="G42" s="7" t="s">
        <v>35</v>
      </c>
      <c r="H42" s="9" t="n">
        <f aca="false">(I42+J42)/SUM(I14:J42)*100</f>
        <v>1.92589939211633</v>
      </c>
      <c r="I42" s="11" t="n">
        <f aca="false">35493905.91-J42</f>
        <v>13309815.11</v>
      </c>
      <c r="J42" s="11" t="n">
        <v>22184090.8</v>
      </c>
    </row>
    <row r="43" customFormat="false" ht="42" hidden="false" customHeight="false" outlineLevel="0" collapsed="false">
      <c r="A43" s="7" t="n">
        <v>38</v>
      </c>
      <c r="B43" s="12" t="s">
        <v>52</v>
      </c>
      <c r="C43" s="5" t="n">
        <v>100</v>
      </c>
      <c r="D43" s="5" t="s">
        <v>53</v>
      </c>
      <c r="E43" s="5" t="n">
        <v>100</v>
      </c>
      <c r="F43" s="5" t="n">
        <v>100</v>
      </c>
      <c r="G43" s="7" t="n">
        <v>1270.2</v>
      </c>
      <c r="H43" s="7" t="n">
        <v>100</v>
      </c>
      <c r="I43" s="11" t="n">
        <v>12205700</v>
      </c>
      <c r="J43" s="13" t="n">
        <v>0</v>
      </c>
    </row>
    <row r="44" customFormat="false" ht="15" hidden="false" customHeight="false" outlineLevel="0" collapsed="false">
      <c r="A44" s="7" t="n">
        <v>39</v>
      </c>
      <c r="B44" s="5" t="s">
        <v>54</v>
      </c>
      <c r="C44" s="8" t="n">
        <v>100</v>
      </c>
      <c r="D44" s="14" t="s">
        <v>55</v>
      </c>
      <c r="E44" s="5" t="n">
        <v>668046</v>
      </c>
      <c r="F44" s="5" t="n">
        <v>100</v>
      </c>
      <c r="G44" s="7" t="n">
        <v>5335.7</v>
      </c>
      <c r="H44" s="7" t="n">
        <v>100</v>
      </c>
      <c r="I44" s="11" t="n">
        <v>19775400</v>
      </c>
      <c r="J44" s="11" t="n">
        <v>77651900</v>
      </c>
    </row>
    <row r="45" customFormat="false" ht="83.05" hidden="false" customHeight="false" outlineLevel="0" collapsed="false">
      <c r="A45" s="7" t="n">
        <v>40</v>
      </c>
      <c r="B45" s="15" t="s">
        <v>56</v>
      </c>
      <c r="C45" s="7" t="n">
        <v>100</v>
      </c>
      <c r="D45" s="5" t="s">
        <v>57</v>
      </c>
      <c r="E45" s="5" t="s">
        <v>35</v>
      </c>
      <c r="F45" s="16" t="n">
        <v>100</v>
      </c>
      <c r="G45" s="17" t="n">
        <v>125971.6</v>
      </c>
      <c r="H45" s="16" t="n">
        <v>100</v>
      </c>
      <c r="I45" s="11" t="n">
        <v>41813.5</v>
      </c>
      <c r="J45" s="11" t="n">
        <v>0</v>
      </c>
    </row>
    <row r="46" customFormat="false" ht="56.1" hidden="false" customHeight="false" outlineLevel="0" collapsed="false">
      <c r="A46" s="7" t="n">
        <v>41</v>
      </c>
      <c r="B46" s="5" t="s">
        <v>58</v>
      </c>
      <c r="C46" s="7" t="n">
        <v>100</v>
      </c>
      <c r="D46" s="5" t="s">
        <v>59</v>
      </c>
      <c r="E46" s="5" t="s">
        <v>60</v>
      </c>
      <c r="F46" s="16" t="n">
        <v>100</v>
      </c>
      <c r="G46" s="17" t="n">
        <v>8848.8</v>
      </c>
      <c r="H46" s="16" t="n">
        <v>100</v>
      </c>
      <c r="I46" s="11" t="n">
        <v>234032.5</v>
      </c>
      <c r="J46" s="11" t="n">
        <v>4080.5</v>
      </c>
    </row>
    <row r="47" customFormat="false" ht="82.95" hidden="false" customHeight="false" outlineLevel="0" collapsed="false">
      <c r="A47" s="7" t="n">
        <v>42</v>
      </c>
      <c r="B47" s="5" t="s">
        <v>61</v>
      </c>
      <c r="C47" s="7" t="n">
        <v>100</v>
      </c>
      <c r="D47" s="5" t="s">
        <v>62</v>
      </c>
      <c r="E47" s="5" t="s">
        <v>63</v>
      </c>
      <c r="F47" s="18" t="n">
        <v>39.3</v>
      </c>
      <c r="G47" s="17" t="n">
        <v>0</v>
      </c>
      <c r="H47" s="9" t="s">
        <v>35</v>
      </c>
      <c r="I47" s="11" t="n">
        <v>17664.5</v>
      </c>
      <c r="J47" s="11" t="n">
        <v>0</v>
      </c>
    </row>
    <row r="48" customFormat="false" ht="110.75" hidden="false" customHeight="false" outlineLevel="0" collapsed="false">
      <c r="A48" s="7" t="n">
        <v>43</v>
      </c>
      <c r="B48" s="5" t="s">
        <v>64</v>
      </c>
      <c r="C48" s="7" t="n">
        <v>100</v>
      </c>
      <c r="D48" s="5" t="s">
        <v>65</v>
      </c>
      <c r="E48" s="5" t="s">
        <v>66</v>
      </c>
      <c r="F48" s="18" t="n">
        <v>40.2</v>
      </c>
      <c r="G48" s="17" t="n">
        <v>612.7</v>
      </c>
      <c r="H48" s="9" t="n">
        <v>100</v>
      </c>
      <c r="I48" s="11" t="n">
        <v>14949.5</v>
      </c>
      <c r="J48" s="11" t="n">
        <v>0</v>
      </c>
    </row>
    <row r="49" customFormat="false" ht="82.95" hidden="false" customHeight="false" outlineLevel="0" collapsed="false">
      <c r="A49" s="7" t="n">
        <v>44</v>
      </c>
      <c r="B49" s="5" t="s">
        <v>67</v>
      </c>
      <c r="C49" s="7" t="n">
        <v>100</v>
      </c>
      <c r="D49" s="5" t="s">
        <v>62</v>
      </c>
      <c r="E49" s="5" t="s">
        <v>68</v>
      </c>
      <c r="F49" s="18" t="n">
        <v>20.5</v>
      </c>
      <c r="G49" s="17" t="n">
        <v>0</v>
      </c>
      <c r="H49" s="9" t="s">
        <v>35</v>
      </c>
      <c r="I49" s="11" t="n">
        <v>11206.1</v>
      </c>
      <c r="J49" s="11" t="n">
        <v>0</v>
      </c>
    </row>
    <row r="50" customFormat="false" ht="82.95" hidden="false" customHeight="false" outlineLevel="0" collapsed="false">
      <c r="A50" s="7" t="n">
        <v>45</v>
      </c>
      <c r="B50" s="5" t="s">
        <v>69</v>
      </c>
      <c r="C50" s="7" t="n">
        <v>100</v>
      </c>
      <c r="D50" s="5" t="s">
        <v>70</v>
      </c>
      <c r="E50" s="5" t="s">
        <v>71</v>
      </c>
      <c r="F50" s="10" t="n">
        <v>100</v>
      </c>
      <c r="G50" s="17" t="n">
        <v>533.9</v>
      </c>
      <c r="H50" s="10" t="n">
        <v>100</v>
      </c>
      <c r="I50" s="11" t="n">
        <v>66716.5</v>
      </c>
      <c r="J50" s="11" t="n">
        <v>2017.5</v>
      </c>
    </row>
    <row r="51" customFormat="false" ht="56.1" hidden="false" customHeight="false" outlineLevel="0" collapsed="false">
      <c r="A51" s="7" t="n">
        <v>46</v>
      </c>
      <c r="B51" s="5" t="s">
        <v>72</v>
      </c>
      <c r="C51" s="7" t="n">
        <v>100</v>
      </c>
      <c r="D51" s="5" t="s">
        <v>73</v>
      </c>
      <c r="E51" s="5" t="s">
        <v>74</v>
      </c>
      <c r="F51" s="16" t="n">
        <v>100</v>
      </c>
      <c r="G51" s="7" t="n">
        <v>0</v>
      </c>
      <c r="H51" s="9" t="s">
        <v>35</v>
      </c>
      <c r="I51" s="11" t="n">
        <v>3314.4</v>
      </c>
      <c r="J51" s="11" t="n">
        <v>0</v>
      </c>
    </row>
    <row r="52" customFormat="false" ht="111.5" hidden="false" customHeight="true" outlineLevel="0" collapsed="false">
      <c r="A52" s="7" t="n">
        <v>47</v>
      </c>
      <c r="B52" s="5" t="s">
        <v>75</v>
      </c>
      <c r="C52" s="7" t="n">
        <v>100</v>
      </c>
      <c r="D52" s="5" t="s">
        <v>76</v>
      </c>
      <c r="E52" s="19" t="s">
        <v>77</v>
      </c>
      <c r="F52" s="10" t="n">
        <v>100</v>
      </c>
      <c r="G52" s="17" t="n">
        <v>38987.46</v>
      </c>
      <c r="H52" s="7" t="n">
        <v>100</v>
      </c>
      <c r="I52" s="11" t="n">
        <v>546606813.52</v>
      </c>
      <c r="J52" s="11" t="n">
        <v>0</v>
      </c>
    </row>
    <row r="53" customFormat="false" ht="13.8" hidden="false" customHeight="false" outlineLevel="0" collapsed="false">
      <c r="I53" s="20"/>
    </row>
  </sheetData>
  <mergeCells count="12">
    <mergeCell ref="A1:J1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D6:D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1562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1562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10038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2021-05-26T09:35:50Z</dcterms:created>
  <dc:creator>Admin</dc:creator>
  <dc:description/>
  <dc:language>ru-RU</dc:language>
  <cp:lastModifiedBy/>
  <cp:lastPrinted>2023-01-24T08:37:40Z</cp:lastPrinted>
  <dcterms:modified xsi:type="dcterms:W3CDTF">2026-03-31T16:18:25Z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